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ebd763b1ca2697a/1. Projects/Tunnelwell/Calculators/"/>
    </mc:Choice>
  </mc:AlternateContent>
  <xr:revisionPtr revIDLastSave="11" documentId="8_{012B2132-38F6-439A-8267-BB63B382C23E}" xr6:coauthVersionLast="47" xr6:coauthVersionMax="47" xr10:uidLastSave="{A667CF5D-143B-4299-9919-F17EE711F075}"/>
  <bookViews>
    <workbookView xWindow="24" yWindow="600" windowWidth="23016" windowHeight="12360" xr2:uid="{197622D6-3F45-4FBE-8BB8-7F63629EC7F0}"/>
  </bookViews>
  <sheets>
    <sheet name="Calculator" sheetId="1" r:id="rId1"/>
    <sheet name="Lookup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G59" i="1"/>
  <c r="C59" i="1"/>
  <c r="G58" i="1"/>
  <c r="C58" i="1"/>
  <c r="G55" i="1"/>
  <c r="C55" i="1"/>
  <c r="G51" i="1"/>
  <c r="H52" i="1" s="1"/>
  <c r="G49" i="1"/>
  <c r="H50" i="1" s="1"/>
  <c r="G47" i="1"/>
  <c r="H48" i="1" s="1"/>
  <c r="C47" i="1"/>
  <c r="H61" i="1"/>
  <c r="G43" i="1"/>
  <c r="G25" i="1"/>
  <c r="G24" i="1"/>
  <c r="C42" i="1" l="1"/>
  <c r="C16" i="1" s="1"/>
  <c r="C14" i="1"/>
  <c r="H53" i="1"/>
  <c r="G42" i="1" l="1"/>
  <c r="G56" i="1" s="1"/>
  <c r="H57" i="1" s="1"/>
  <c r="H62" i="1" s="1"/>
  <c r="G30" i="1" s="1"/>
  <c r="C51" i="1"/>
  <c r="C49" i="1"/>
  <c r="C43" i="1"/>
  <c r="C23" i="1" s="1"/>
  <c r="G23" i="1" l="1"/>
  <c r="D61" i="1"/>
  <c r="D52" i="1"/>
  <c r="D50" i="1"/>
  <c r="D48" i="1"/>
  <c r="C25" i="1"/>
  <c r="C24" i="1"/>
  <c r="C56" i="1" l="1"/>
  <c r="D57" i="1" s="1"/>
  <c r="D62" i="1" s="1"/>
  <c r="C28" i="1" s="1"/>
  <c r="D53" i="1"/>
  <c r="C29" i="1" s="1"/>
  <c r="C30" i="1" l="1"/>
</calcChain>
</file>

<file path=xl/sharedStrings.xml><?xml version="1.0" encoding="utf-8"?>
<sst xmlns="http://schemas.openxmlformats.org/spreadsheetml/2006/main" count="149" uniqueCount="76">
  <si>
    <t>Depth of rainfall for retention:</t>
  </si>
  <si>
    <t>Volume</t>
  </si>
  <si>
    <t>Infiltration area</t>
  </si>
  <si>
    <t>Length</t>
  </si>
  <si>
    <t>External Height</t>
  </si>
  <si>
    <t>Internal height</t>
  </si>
  <si>
    <t>External width</t>
  </si>
  <si>
    <t>Internal width</t>
  </si>
  <si>
    <t>Units</t>
  </si>
  <si>
    <t>sqm</t>
  </si>
  <si>
    <t>mm</t>
  </si>
  <si>
    <t>Main unit dimensions</t>
  </si>
  <si>
    <t>Male end cap dimensions</t>
  </si>
  <si>
    <t>Female end cap dimensions</t>
  </si>
  <si>
    <t>Configuration (number of rows):</t>
  </si>
  <si>
    <t>Connected impervious area: (hardstand, roof, paving etc.)</t>
  </si>
  <si>
    <t>Number of female end caps:</t>
  </si>
  <si>
    <t>Number of male end caps:</t>
  </si>
  <si>
    <t>System Calculator</t>
  </si>
  <si>
    <t>Total footprint area: *</t>
  </si>
  <si>
    <t>Loading/Rating:</t>
  </si>
  <si>
    <t>5 kPa Loads or 31KN point Loads</t>
  </si>
  <si>
    <t>AS5100:2 Loads Main Roads Loads</t>
  </si>
  <si>
    <t>1 Cubic metre lookup table</t>
  </si>
  <si>
    <t>Unit Separation</t>
  </si>
  <si>
    <t>Margin</t>
  </si>
  <si>
    <t>units</t>
  </si>
  <si>
    <t>Width of Cell</t>
  </si>
  <si>
    <t>Width of all cells</t>
  </si>
  <si>
    <t>Separation</t>
  </si>
  <si>
    <t>Width of all Separations</t>
  </si>
  <si>
    <t>Width of all Margins</t>
  </si>
  <si>
    <t>Total width</t>
  </si>
  <si>
    <t>Length of Cell</t>
  </si>
  <si>
    <t>Length of longest row</t>
  </si>
  <si>
    <t>Length of Male End Cap</t>
  </si>
  <si>
    <t>Total Length</t>
  </si>
  <si>
    <t>Length Female End Cap</t>
  </si>
  <si>
    <t>Runoff coefficient</t>
  </si>
  <si>
    <t>Volume of water storage required</t>
  </si>
  <si>
    <t>m3</t>
  </si>
  <si>
    <t>Volume of Water in End Caps</t>
  </si>
  <si>
    <t>Number of TW Cells Required</t>
  </si>
  <si>
    <t>Number of Cells in longest Row</t>
  </si>
  <si>
    <t>m</t>
  </si>
  <si>
    <t>Storage Calculation</t>
  </si>
  <si>
    <t>EcoAid</t>
  </si>
  <si>
    <t>Stormtech SC740</t>
  </si>
  <si>
    <t>Installed Volume</t>
  </si>
  <si>
    <t>Actual Volume</t>
  </si>
  <si>
    <t>Tunnelwell System Configuration</t>
  </si>
  <si>
    <t>Length Calculation</t>
  </si>
  <si>
    <t>Width Calculation</t>
  </si>
  <si>
    <t>Required number of TW cells: 
(excl. end caps)</t>
  </si>
  <si>
    <r>
      <t xml:space="preserve">Tunnelwell Efficiency coefficient: </t>
    </r>
    <r>
      <rPr>
        <vertAlign val="superscript"/>
        <sz val="11"/>
        <color theme="1"/>
        <rFont val="Century Gothic"/>
        <family val="2"/>
      </rPr>
      <t>#</t>
    </r>
  </si>
  <si>
    <t>Tunnewell efficiency coefficient</t>
  </si>
  <si>
    <t>Infiltration Rate:</t>
  </si>
  <si>
    <t>m/day</t>
  </si>
  <si>
    <t>or</t>
  </si>
  <si>
    <t>Hidden Calculations</t>
  </si>
  <si>
    <t>Infiltration Area/Cell</t>
  </si>
  <si>
    <t>Tunnelwell Cell Calculation</t>
  </si>
  <si>
    <t>* Denoted by Red Boundary in the layout figure</t>
  </si>
  <si>
    <t>Tunnelwell Area Calculation</t>
  </si>
  <si>
    <t>Length of excavated area</t>
  </si>
  <si>
    <t>Width of excavated area</t>
  </si>
  <si>
    <t>v7</t>
  </si>
  <si>
    <r>
      <rPr>
        <vertAlign val="superscript"/>
        <sz val="9"/>
        <color theme="1"/>
        <rFont val="Century Gothic"/>
        <family val="2"/>
      </rPr>
      <t>#</t>
    </r>
    <r>
      <rPr>
        <sz val="9"/>
        <color theme="1"/>
        <rFont val="Century Gothic"/>
        <family val="2"/>
      </rPr>
      <t xml:space="preserve"> For a given volume, Tunnelwell infiltrates 25% more stormwater than competitive products.</t>
    </r>
  </si>
  <si>
    <r>
      <t>m</t>
    </r>
    <r>
      <rPr>
        <vertAlign val="superscript"/>
        <sz val="11"/>
        <color theme="1"/>
        <rFont val="Century Gothic"/>
        <family val="2"/>
      </rPr>
      <t>3</t>
    </r>
  </si>
  <si>
    <r>
      <t>m</t>
    </r>
    <r>
      <rPr>
        <vertAlign val="superscript"/>
        <sz val="11"/>
        <color theme="1"/>
        <rFont val="Century Gothic"/>
        <family val="2"/>
      </rPr>
      <t>2</t>
    </r>
  </si>
  <si>
    <t>Volume of Tunnelwell storage required</t>
  </si>
  <si>
    <t>Tunnelwell Product Performance Comparison</t>
  </si>
  <si>
    <r>
      <t>Tunnelwell Cell Calculation</t>
    </r>
    <r>
      <rPr>
        <b/>
        <vertAlign val="superscript"/>
        <sz val="11"/>
        <color theme="0"/>
        <rFont val="Century Gothic"/>
        <family val="2"/>
      </rPr>
      <t>$</t>
    </r>
  </si>
  <si>
    <r>
      <t xml:space="preserve">Required number of TW cells: 
</t>
    </r>
    <r>
      <rPr>
        <sz val="11"/>
        <color theme="1"/>
        <rFont val="Century Gothic"/>
        <family val="2"/>
      </rPr>
      <t>(excl. end caps)</t>
    </r>
  </si>
  <si>
    <r>
      <rPr>
        <vertAlign val="superscript"/>
        <sz val="9"/>
        <color theme="1"/>
        <rFont val="Century Gothic"/>
        <family val="2"/>
      </rPr>
      <t>$</t>
    </r>
    <r>
      <rPr>
        <sz val="9"/>
        <color theme="1"/>
        <rFont val="Century Gothic"/>
        <family val="2"/>
      </rPr>
      <t xml:space="preserve"> What you will need to order from Tunnelwell</t>
    </r>
  </si>
  <si>
    <t>Volume of geotextile wrapped product storage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</si>
</sst>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11"/>
      <color theme="0"/>
      <name val="Century Gothic"/>
      <family val="2"/>
    </font>
    <font>
      <sz val="11"/>
      <color theme="0"/>
      <name val="Century Gothic"/>
      <family val="2"/>
    </font>
    <font>
      <vertAlign val="superscript"/>
      <sz val="9"/>
      <color theme="1"/>
      <name val="Century Gothic"/>
      <family val="2"/>
    </font>
    <font>
      <vertAlign val="superscript"/>
      <sz val="11"/>
      <color theme="1"/>
      <name val="Century Gothic"/>
      <family val="2"/>
    </font>
    <font>
      <b/>
      <vertAlign val="superscript"/>
      <sz val="11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0" xfId="0" applyFont="1" applyAlignment="1">
      <alignment horizontal="right"/>
    </xf>
    <xf numFmtId="0" fontId="4" fillId="0" borderId="7" xfId="0" applyFont="1" applyBorder="1"/>
    <xf numFmtId="0" fontId="4" fillId="0" borderId="0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20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1" fillId="3" borderId="13" xfId="0" applyFont="1" applyFill="1" applyBorder="1" applyAlignment="1" applyProtection="1">
      <alignment wrapText="1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0" fontId="1" fillId="0" borderId="0" xfId="0" applyFont="1" applyProtection="1"/>
    <xf numFmtId="0" fontId="6" fillId="5" borderId="1" xfId="0" applyFont="1" applyFill="1" applyBorder="1" applyAlignment="1" applyProtection="1">
      <alignment wrapText="1"/>
    </xf>
    <xf numFmtId="0" fontId="7" fillId="5" borderId="2" xfId="0" applyFont="1" applyFill="1" applyBorder="1" applyAlignment="1" applyProtection="1">
      <alignment wrapText="1"/>
    </xf>
    <xf numFmtId="0" fontId="6" fillId="5" borderId="3" xfId="0" applyFont="1" applyFill="1" applyBorder="1" applyAlignment="1" applyProtection="1">
      <alignment wrapText="1"/>
    </xf>
    <xf numFmtId="0" fontId="1" fillId="0" borderId="0" xfId="0" applyFont="1" applyAlignment="1" applyProtection="1">
      <alignment horizontal="center"/>
    </xf>
    <xf numFmtId="0" fontId="1" fillId="0" borderId="15" xfId="0" applyFont="1" applyBorder="1" applyProtection="1"/>
    <xf numFmtId="0" fontId="1" fillId="3" borderId="13" xfId="0" applyFont="1" applyFill="1" applyBorder="1" applyProtection="1"/>
    <xf numFmtId="0" fontId="1" fillId="0" borderId="16" xfId="0" applyFont="1" applyBorder="1" applyProtection="1"/>
    <xf numFmtId="0" fontId="2" fillId="4" borderId="15" xfId="0" applyFont="1" applyFill="1" applyBorder="1" applyAlignment="1" applyProtection="1">
      <alignment wrapText="1"/>
    </xf>
    <xf numFmtId="0" fontId="2" fillId="4" borderId="0" xfId="0" applyFont="1" applyFill="1" applyBorder="1" applyProtection="1"/>
    <xf numFmtId="0" fontId="1" fillId="4" borderId="16" xfId="0" applyFont="1" applyFill="1" applyBorder="1" applyAlignment="1" applyProtection="1">
      <alignment wrapText="1"/>
    </xf>
    <xf numFmtId="0" fontId="2" fillId="4" borderId="13" xfId="0" applyFont="1" applyFill="1" applyBorder="1" applyAlignment="1" applyProtection="1">
      <alignment wrapText="1"/>
    </xf>
    <xf numFmtId="0" fontId="2" fillId="4" borderId="18" xfId="0" applyFont="1" applyFill="1" applyBorder="1" applyAlignment="1" applyProtection="1">
      <alignment wrapText="1"/>
    </xf>
    <xf numFmtId="0" fontId="2" fillId="4" borderId="22" xfId="0" applyFont="1" applyFill="1" applyBorder="1" applyAlignment="1" applyProtection="1">
      <alignment wrapText="1"/>
    </xf>
    <xf numFmtId="0" fontId="1" fillId="4" borderId="19" xfId="0" applyFont="1" applyFill="1" applyBorder="1" applyAlignment="1" applyProtection="1">
      <alignment wrapText="1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top" wrapText="1"/>
    </xf>
    <xf numFmtId="0" fontId="2" fillId="0" borderId="10" xfId="0" applyFont="1" applyBorder="1" applyProtection="1"/>
    <xf numFmtId="0" fontId="1" fillId="0" borderId="10" xfId="0" applyFont="1" applyBorder="1" applyProtection="1"/>
    <xf numFmtId="0" fontId="1" fillId="0" borderId="0" xfId="0" applyFont="1" applyFill="1" applyBorder="1" applyAlignment="1" applyProtection="1">
      <alignment wrapText="1"/>
    </xf>
    <xf numFmtId="0" fontId="2" fillId="0" borderId="0" xfId="0" applyFont="1" applyProtection="1"/>
    <xf numFmtId="0" fontId="1" fillId="2" borderId="16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wrapText="1"/>
    </xf>
    <xf numFmtId="0" fontId="1" fillId="2" borderId="4" xfId="0" applyFont="1" applyFill="1" applyBorder="1" applyAlignment="1" applyProtection="1">
      <alignment wrapText="1"/>
    </xf>
    <xf numFmtId="0" fontId="2" fillId="4" borderId="6" xfId="0" applyFont="1" applyFill="1" applyBorder="1" applyProtection="1"/>
    <xf numFmtId="0" fontId="1" fillId="2" borderId="15" xfId="0" applyFont="1" applyFill="1" applyBorder="1" applyAlignment="1" applyProtection="1">
      <alignment wrapText="1"/>
    </xf>
    <xf numFmtId="0" fontId="3" fillId="0" borderId="0" xfId="0" applyFont="1" applyProtection="1"/>
    <xf numFmtId="164" fontId="2" fillId="4" borderId="13" xfId="0" applyNumberFormat="1" applyFont="1" applyFill="1" applyBorder="1" applyAlignment="1" applyProtection="1">
      <alignment wrapText="1"/>
    </xf>
    <xf numFmtId="164" fontId="2" fillId="4" borderId="22" xfId="0" applyNumberFormat="1" applyFont="1" applyFill="1" applyBorder="1" applyAlignment="1" applyProtection="1">
      <alignment wrapText="1"/>
    </xf>
    <xf numFmtId="0" fontId="2" fillId="0" borderId="13" xfId="0" applyFont="1" applyBorder="1" applyProtection="1"/>
    <xf numFmtId="0" fontId="2" fillId="4" borderId="13" xfId="0" applyFont="1" applyFill="1" applyBorder="1" applyProtection="1"/>
    <xf numFmtId="0" fontId="6" fillId="5" borderId="23" xfId="0" applyFont="1" applyFill="1" applyBorder="1" applyAlignment="1" applyProtection="1"/>
    <xf numFmtId="0" fontId="7" fillId="5" borderId="24" xfId="0" applyFont="1" applyFill="1" applyBorder="1" applyAlignment="1" applyProtection="1">
      <alignment wrapText="1"/>
    </xf>
    <xf numFmtId="0" fontId="6" fillId="5" borderId="25" xfId="0" applyFont="1" applyFill="1" applyBorder="1" applyAlignment="1" applyProtection="1">
      <alignment wrapText="1"/>
    </xf>
    <xf numFmtId="0" fontId="2" fillId="4" borderId="26" xfId="0" applyFont="1" applyFill="1" applyBorder="1" applyAlignment="1" applyProtection="1">
      <alignment wrapText="1"/>
    </xf>
    <xf numFmtId="0" fontId="1" fillId="4" borderId="27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" fillId="0" borderId="16" xfId="0" applyFont="1" applyFill="1" applyBorder="1" applyAlignment="1" applyProtection="1">
      <alignment wrapText="1"/>
    </xf>
    <xf numFmtId="0" fontId="1" fillId="0" borderId="13" xfId="0" applyFont="1" applyFill="1" applyBorder="1" applyProtection="1"/>
    <xf numFmtId="0" fontId="1" fillId="4" borderId="6" xfId="0" applyFont="1" applyFill="1" applyBorder="1" applyProtection="1"/>
    <xf numFmtId="0" fontId="2" fillId="4" borderId="15" xfId="0" applyFont="1" applyFill="1" applyBorder="1" applyAlignment="1" applyProtection="1"/>
    <xf numFmtId="0" fontId="5" fillId="0" borderId="0" xfId="0" applyFont="1" applyProtection="1"/>
    <xf numFmtId="0" fontId="1" fillId="2" borderId="18" xfId="0" applyFont="1" applyFill="1" applyBorder="1" applyAlignment="1" applyProtection="1">
      <alignment vertical="top" wrapText="1"/>
    </xf>
    <xf numFmtId="0" fontId="1" fillId="3" borderId="22" xfId="0" applyFont="1" applyFill="1" applyBorder="1" applyAlignment="1" applyProtection="1">
      <alignment horizontal="right" wrapText="1"/>
      <protection locked="0"/>
    </xf>
    <xf numFmtId="0" fontId="1" fillId="2" borderId="19" xfId="0" applyFont="1" applyFill="1" applyBorder="1" applyAlignment="1" applyProtection="1">
      <alignment wrapText="1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1</xdr:col>
      <xdr:colOff>3051139</xdr:colOff>
      <xdr:row>3</xdr:row>
      <xdr:rowOff>225296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9209C4D-3C84-4A86-A2C0-CA4535434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016" y="152400"/>
          <a:ext cx="3087334" cy="587246"/>
        </a:xfrm>
        <a:prstGeom prst="rect">
          <a:avLst/>
        </a:prstGeom>
      </xdr:spPr>
    </xdr:pic>
    <xdr:clientData/>
  </xdr:twoCellAnchor>
  <xdr:twoCellAnchor>
    <xdr:from>
      <xdr:col>8</xdr:col>
      <xdr:colOff>240030</xdr:colOff>
      <xdr:row>5</xdr:row>
      <xdr:rowOff>154305</xdr:rowOff>
    </xdr:from>
    <xdr:to>
      <xdr:col>20</xdr:col>
      <xdr:colOff>152399</xdr:colOff>
      <xdr:row>29</xdr:row>
      <xdr:rowOff>198119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34EA36DF-7065-458E-976A-B65366C4FF25}"/>
            </a:ext>
          </a:extLst>
        </xdr:cNvPr>
        <xdr:cNvGrpSpPr/>
      </xdr:nvGrpSpPr>
      <xdr:grpSpPr>
        <a:xfrm>
          <a:off x="7402830" y="1198245"/>
          <a:ext cx="7410449" cy="4752974"/>
          <a:chOff x="7498080" y="482710"/>
          <a:chExt cx="5532120" cy="3538376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63D6C39A-72FA-46DF-9147-D057DFC08542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001" r="7400"/>
          <a:stretch/>
        </xdr:blipFill>
        <xdr:spPr bwMode="auto">
          <a:xfrm>
            <a:off x="7498080" y="482710"/>
            <a:ext cx="5532120" cy="3538376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886CF0E-1A6B-4496-A1AD-A0985219BF77}"/>
              </a:ext>
            </a:extLst>
          </xdr:cNvPr>
          <xdr:cNvSpPr/>
        </xdr:nvSpPr>
        <xdr:spPr>
          <a:xfrm>
            <a:off x="8923021" y="780138"/>
            <a:ext cx="3985260" cy="2316709"/>
          </a:xfrm>
          <a:prstGeom prst="rect">
            <a:avLst/>
          </a:prstGeom>
          <a:noFill/>
          <a:ln w="28575"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DA220-93A4-435D-AFDD-12B9280E2987}">
  <sheetPr codeName="Sheet1"/>
  <dimension ref="B4:I80"/>
  <sheetViews>
    <sheetView showGridLines="0" tabSelected="1" workbookViewId="0">
      <selection activeCell="C10" sqref="C10"/>
    </sheetView>
  </sheetViews>
  <sheetFormatPr defaultColWidth="9.109375" defaultRowHeight="13.8" x14ac:dyDescent="0.25"/>
  <cols>
    <col min="1" max="1" width="5.33203125" style="21" customWidth="1"/>
    <col min="2" max="2" width="55.77734375" style="21" customWidth="1"/>
    <col min="3" max="3" width="35.6640625" style="21" customWidth="1"/>
    <col min="4" max="4" width="7.6640625" style="21" bestFit="1" customWidth="1"/>
    <col min="5" max="5" width="5.33203125" style="21" hidden="1" customWidth="1"/>
    <col min="6" max="6" width="36.33203125" style="21" hidden="1" customWidth="1"/>
    <col min="7" max="7" width="24.6640625" style="21" hidden="1" customWidth="1"/>
    <col min="8" max="8" width="7.88671875" style="21" hidden="1" customWidth="1"/>
    <col min="9" max="16384" width="9.109375" style="21"/>
  </cols>
  <sheetData>
    <row r="4" spans="2:4" ht="20.399999999999999" x14ac:dyDescent="0.35">
      <c r="B4" s="47"/>
    </row>
    <row r="5" spans="2:4" ht="20.399999999999999" x14ac:dyDescent="0.35">
      <c r="B5" s="47" t="s">
        <v>18</v>
      </c>
      <c r="D5" s="21" t="s">
        <v>66</v>
      </c>
    </row>
    <row r="6" spans="2:4" ht="21" thickBot="1" x14ac:dyDescent="0.4">
      <c r="B6" s="47"/>
    </row>
    <row r="7" spans="2:4" x14ac:dyDescent="0.25">
      <c r="B7" s="22" t="s">
        <v>45</v>
      </c>
      <c r="C7" s="23"/>
      <c r="D7" s="24" t="s">
        <v>8</v>
      </c>
    </row>
    <row r="8" spans="2:4" ht="27.6" x14ac:dyDescent="0.25">
      <c r="B8" s="46" t="s">
        <v>15</v>
      </c>
      <c r="C8" s="19">
        <v>30000</v>
      </c>
      <c r="D8" s="42" t="s">
        <v>9</v>
      </c>
    </row>
    <row r="9" spans="2:4" x14ac:dyDescent="0.25">
      <c r="B9" s="46" t="s">
        <v>38</v>
      </c>
      <c r="C9" s="19">
        <v>1</v>
      </c>
      <c r="D9" s="42"/>
    </row>
    <row r="10" spans="2:4" x14ac:dyDescent="0.25">
      <c r="B10" s="46" t="s">
        <v>0</v>
      </c>
      <c r="C10" s="19">
        <v>15</v>
      </c>
      <c r="D10" s="42" t="s">
        <v>10</v>
      </c>
    </row>
    <row r="11" spans="2:4" ht="17.399999999999999" thickBot="1" x14ac:dyDescent="0.3">
      <c r="B11" s="33" t="s">
        <v>39</v>
      </c>
      <c r="C11" s="60">
        <f>C8*(C10/1000)*C9</f>
        <v>450</v>
      </c>
      <c r="D11" s="35" t="s">
        <v>68</v>
      </c>
    </row>
    <row r="12" spans="2:4" ht="14.4" thickBot="1" x14ac:dyDescent="0.3"/>
    <row r="13" spans="2:4" x14ac:dyDescent="0.25">
      <c r="B13" s="52" t="s">
        <v>71</v>
      </c>
      <c r="C13" s="53"/>
      <c r="D13" s="54"/>
    </row>
    <row r="14" spans="2:4" ht="16.8" x14ac:dyDescent="0.25">
      <c r="B14" s="26" t="s">
        <v>75</v>
      </c>
      <c r="C14" s="59">
        <f>C11</f>
        <v>450</v>
      </c>
      <c r="D14" s="58" t="s">
        <v>68</v>
      </c>
    </row>
    <row r="15" spans="2:4" ht="16.8" x14ac:dyDescent="0.25">
      <c r="B15" s="26" t="s">
        <v>54</v>
      </c>
      <c r="C15" s="27">
        <v>0.75</v>
      </c>
      <c r="D15" s="28"/>
    </row>
    <row r="16" spans="2:4" ht="17.399999999999999" thickBot="1" x14ac:dyDescent="0.3">
      <c r="B16" s="55" t="s">
        <v>70</v>
      </c>
      <c r="C16" s="45">
        <f>C42</f>
        <v>338</v>
      </c>
      <c r="D16" s="56" t="s">
        <v>68</v>
      </c>
    </row>
    <row r="17" spans="2:8" ht="14.4" thickBot="1" x14ac:dyDescent="0.3">
      <c r="D17" s="57"/>
    </row>
    <row r="18" spans="2:8" x14ac:dyDescent="0.25">
      <c r="B18" s="22" t="s">
        <v>50</v>
      </c>
      <c r="C18" s="23"/>
      <c r="D18" s="24" t="s">
        <v>8</v>
      </c>
    </row>
    <row r="19" spans="2:8" x14ac:dyDescent="0.25">
      <c r="B19" s="44" t="s">
        <v>14</v>
      </c>
      <c r="C19" s="20">
        <v>4</v>
      </c>
      <c r="D19" s="43"/>
    </row>
    <row r="20" spans="2:8" ht="14.4" thickBot="1" x14ac:dyDescent="0.3">
      <c r="B20" s="63" t="s">
        <v>20</v>
      </c>
      <c r="C20" s="64" t="s">
        <v>22</v>
      </c>
      <c r="D20" s="65"/>
    </row>
    <row r="21" spans="2:8" ht="14.4" thickBot="1" x14ac:dyDescent="0.3"/>
    <row r="22" spans="2:8" ht="16.2" x14ac:dyDescent="0.25">
      <c r="B22" s="22" t="s">
        <v>72</v>
      </c>
      <c r="C22" s="23"/>
      <c r="D22" s="24" t="s">
        <v>8</v>
      </c>
      <c r="F22" s="26" t="s">
        <v>56</v>
      </c>
      <c r="G22" s="27">
        <v>1</v>
      </c>
      <c r="H22" s="28" t="s">
        <v>57</v>
      </c>
    </row>
    <row r="23" spans="2:8" ht="13.2" customHeight="1" x14ac:dyDescent="0.25">
      <c r="B23" s="61" t="s">
        <v>73</v>
      </c>
      <c r="C23" s="51">
        <f>ROUNDUP(C42-C43,0)</f>
        <v>336</v>
      </c>
      <c r="D23" s="31" t="s">
        <v>8</v>
      </c>
      <c r="F23" s="29" t="s">
        <v>53</v>
      </c>
      <c r="G23" s="30">
        <f>G42-C43</f>
        <v>294.60000000000002</v>
      </c>
      <c r="H23" s="31" t="s">
        <v>8</v>
      </c>
    </row>
    <row r="24" spans="2:8" x14ac:dyDescent="0.25">
      <c r="B24" s="29" t="s">
        <v>16</v>
      </c>
      <c r="C24" s="32">
        <f>C19</f>
        <v>4</v>
      </c>
      <c r="D24" s="31" t="s">
        <v>8</v>
      </c>
      <c r="F24" s="29" t="s">
        <v>16</v>
      </c>
      <c r="G24" s="32">
        <f>C19</f>
        <v>4</v>
      </c>
      <c r="H24" s="31" t="s">
        <v>8</v>
      </c>
    </row>
    <row r="25" spans="2:8" ht="14.4" thickBot="1" x14ac:dyDescent="0.3">
      <c r="B25" s="33" t="s">
        <v>17</v>
      </c>
      <c r="C25" s="34">
        <f>C19</f>
        <v>4</v>
      </c>
      <c r="D25" s="35" t="s">
        <v>26</v>
      </c>
      <c r="F25" s="33" t="s">
        <v>17</v>
      </c>
      <c r="G25" s="34">
        <f>C19</f>
        <v>4</v>
      </c>
      <c r="H25" s="35" t="s">
        <v>26</v>
      </c>
    </row>
    <row r="26" spans="2:8" ht="14.4" thickBot="1" x14ac:dyDescent="0.3"/>
    <row r="27" spans="2:8" x14ac:dyDescent="0.25">
      <c r="B27" s="22" t="s">
        <v>63</v>
      </c>
      <c r="C27" s="23"/>
      <c r="D27" s="24" t="s">
        <v>8</v>
      </c>
      <c r="E27" s="25" t="s">
        <v>58</v>
      </c>
      <c r="F27" s="22" t="s">
        <v>61</v>
      </c>
      <c r="G27" s="23"/>
      <c r="H27" s="24" t="s">
        <v>8</v>
      </c>
    </row>
    <row r="28" spans="2:8" x14ac:dyDescent="0.25">
      <c r="B28" s="29" t="s">
        <v>64</v>
      </c>
      <c r="C28" s="48">
        <f>D62</f>
        <v>86.168999999999997</v>
      </c>
      <c r="D28" s="31" t="s">
        <v>44</v>
      </c>
      <c r="F28" s="29"/>
      <c r="G28" s="32"/>
      <c r="H28" s="31"/>
    </row>
    <row r="29" spans="2:8" x14ac:dyDescent="0.25">
      <c r="B29" s="29" t="s">
        <v>65</v>
      </c>
      <c r="C29" s="48">
        <f>D53</f>
        <v>20.48</v>
      </c>
      <c r="D29" s="31" t="s">
        <v>44</v>
      </c>
      <c r="F29" s="29"/>
      <c r="G29" s="32"/>
      <c r="H29" s="31"/>
    </row>
    <row r="30" spans="2:8" ht="17.399999999999999" thickBot="1" x14ac:dyDescent="0.3">
      <c r="B30" s="33" t="s">
        <v>19</v>
      </c>
      <c r="C30" s="49">
        <f>D53*D62</f>
        <v>1764.7411199999999</v>
      </c>
      <c r="D30" s="35" t="s">
        <v>69</v>
      </c>
      <c r="F30" s="29" t="s">
        <v>19</v>
      </c>
      <c r="G30" s="32">
        <f>H53*H62</f>
        <v>1559.94112</v>
      </c>
      <c r="H30" s="31" t="s">
        <v>9</v>
      </c>
    </row>
    <row r="32" spans="2:8" x14ac:dyDescent="0.25">
      <c r="B32" s="66" t="s">
        <v>67</v>
      </c>
      <c r="C32" s="66"/>
      <c r="D32" s="66"/>
    </row>
    <row r="33" spans="2:9" ht="14.4" x14ac:dyDescent="0.3">
      <c r="B33" s="62" t="s">
        <v>74</v>
      </c>
    </row>
    <row r="34" spans="2:9" x14ac:dyDescent="0.25">
      <c r="B34" s="67" t="s">
        <v>62</v>
      </c>
      <c r="C34" s="67"/>
      <c r="D34" s="67"/>
    </row>
    <row r="38" spans="2:9" ht="19.2" customHeight="1" x14ac:dyDescent="0.25"/>
    <row r="39" spans="2:9" ht="19.2" customHeight="1" x14ac:dyDescent="0.25">
      <c r="B39" s="36"/>
      <c r="C39" s="36"/>
      <c r="D39" s="36"/>
    </row>
    <row r="40" spans="2:9" ht="10.199999999999999" hidden="1" customHeight="1" x14ac:dyDescent="0.25">
      <c r="B40" s="37"/>
      <c r="C40" s="37"/>
      <c r="D40" s="37"/>
    </row>
    <row r="41" spans="2:9" hidden="1" x14ac:dyDescent="0.25">
      <c r="B41" s="38" t="s">
        <v>59</v>
      </c>
      <c r="C41" s="39"/>
      <c r="D41" s="39"/>
      <c r="E41" s="39"/>
      <c r="F41" s="39"/>
      <c r="G41" s="39"/>
      <c r="H41" s="39"/>
    </row>
    <row r="42" spans="2:9" hidden="1" x14ac:dyDescent="0.25">
      <c r="B42" s="21" t="s">
        <v>42</v>
      </c>
      <c r="C42" s="21">
        <f>ROUNDUP(C11*C15,0)</f>
        <v>338</v>
      </c>
      <c r="D42" s="21" t="s">
        <v>26</v>
      </c>
      <c r="F42" s="21" t="s">
        <v>42</v>
      </c>
      <c r="G42" s="21">
        <f>ROUNDUP(C11/(G22*G43),0)</f>
        <v>297</v>
      </c>
      <c r="H42" s="21" t="s">
        <v>26</v>
      </c>
    </row>
    <row r="43" spans="2:9" hidden="1" x14ac:dyDescent="0.25">
      <c r="B43" s="21" t="s">
        <v>41</v>
      </c>
      <c r="C43" s="40">
        <f>C19*(VLOOKUP(C20,Lookups!B7:Y8,16,FALSE)+VLOOKUP(C20,Lookups!B7:Y8,23,FALSE))</f>
        <v>2.4000000000000004</v>
      </c>
      <c r="D43" s="21" t="s">
        <v>40</v>
      </c>
      <c r="F43" s="21" t="s">
        <v>60</v>
      </c>
      <c r="G43" s="21">
        <f>VLOOKUP(C20,Lookups!B7:AC8,10,FALSE)</f>
        <v>1.52</v>
      </c>
    </row>
    <row r="44" spans="2:9" hidden="1" x14ac:dyDescent="0.25"/>
    <row r="45" spans="2:9" hidden="1" x14ac:dyDescent="0.25"/>
    <row r="46" spans="2:9" hidden="1" x14ac:dyDescent="0.25">
      <c r="B46" s="41" t="s">
        <v>52</v>
      </c>
      <c r="F46" s="41" t="s">
        <v>52</v>
      </c>
    </row>
    <row r="47" spans="2:9" hidden="1" x14ac:dyDescent="0.25">
      <c r="B47" s="21" t="s">
        <v>27</v>
      </c>
      <c r="C47" s="21">
        <f>(VLOOKUP(C20,Lookups!$B$7:$Y$8,4,FALSE))</f>
        <v>1.74</v>
      </c>
      <c r="F47" s="21" t="s">
        <v>27</v>
      </c>
      <c r="G47" s="21">
        <f>(VLOOKUP(C20,Lookups!$B$7:$Y$8,4,FALSE))</f>
        <v>1.74</v>
      </c>
      <c r="I47" s="21" t="s">
        <v>44</v>
      </c>
    </row>
    <row r="48" spans="2:9" hidden="1" x14ac:dyDescent="0.25">
      <c r="B48" s="21" t="s">
        <v>28</v>
      </c>
      <c r="D48" s="21">
        <f>C47*C19</f>
        <v>6.96</v>
      </c>
      <c r="F48" s="21" t="s">
        <v>28</v>
      </c>
      <c r="H48" s="21">
        <f>G47*C19</f>
        <v>6.96</v>
      </c>
      <c r="I48" s="21" t="s">
        <v>44</v>
      </c>
    </row>
    <row r="49" spans="2:9" hidden="1" x14ac:dyDescent="0.25">
      <c r="B49" s="21" t="s">
        <v>29</v>
      </c>
      <c r="C49" s="21">
        <f>VLOOKUP(C20,Lookups!B7:Y8,6,FALSE)</f>
        <v>3.84</v>
      </c>
      <c r="F49" s="21" t="s">
        <v>29</v>
      </c>
      <c r="G49" s="21">
        <f>(VLOOKUP(C20,Lookups!$B$7:$Y$8,6,FALSE))</f>
        <v>3.84</v>
      </c>
      <c r="I49" s="21" t="s">
        <v>44</v>
      </c>
    </row>
    <row r="50" spans="2:9" hidden="1" x14ac:dyDescent="0.25">
      <c r="B50" s="21" t="s">
        <v>30</v>
      </c>
      <c r="D50" s="21">
        <f>C49*(C19-1)</f>
        <v>11.52</v>
      </c>
      <c r="F50" s="21" t="s">
        <v>30</v>
      </c>
      <c r="H50" s="21">
        <f>G49*(C19-1)</f>
        <v>11.52</v>
      </c>
      <c r="I50" s="21" t="s">
        <v>44</v>
      </c>
    </row>
    <row r="51" spans="2:9" hidden="1" x14ac:dyDescent="0.25">
      <c r="B51" s="21" t="s">
        <v>25</v>
      </c>
      <c r="C51" s="21">
        <f>VLOOKUP(C20,Lookups!B7:Y8,7,FALSE)</f>
        <v>1</v>
      </c>
      <c r="F51" s="21" t="s">
        <v>25</v>
      </c>
      <c r="G51" s="21">
        <f>(VLOOKUP(C20,Lookups!$B$7:$Y$8,7,FALSE))</f>
        <v>1</v>
      </c>
      <c r="I51" s="21" t="s">
        <v>44</v>
      </c>
    </row>
    <row r="52" spans="2:9" hidden="1" x14ac:dyDescent="0.25">
      <c r="B52" s="21" t="s">
        <v>31</v>
      </c>
      <c r="D52" s="21">
        <f>C51*2</f>
        <v>2</v>
      </c>
      <c r="F52" s="21" t="s">
        <v>31</v>
      </c>
      <c r="H52" s="21">
        <f>G51*2</f>
        <v>2</v>
      </c>
      <c r="I52" s="21" t="s">
        <v>44</v>
      </c>
    </row>
    <row r="53" spans="2:9" hidden="1" x14ac:dyDescent="0.25">
      <c r="B53" s="21" t="s">
        <v>32</v>
      </c>
      <c r="D53" s="50">
        <f>SUM(D48:D52)</f>
        <v>20.48</v>
      </c>
      <c r="E53" s="41"/>
      <c r="F53" s="41" t="s">
        <v>32</v>
      </c>
      <c r="G53" s="41"/>
      <c r="H53" s="50">
        <f>SUM(H48:H52)</f>
        <v>20.48</v>
      </c>
      <c r="I53" s="41" t="s">
        <v>44</v>
      </c>
    </row>
    <row r="54" spans="2:9" hidden="1" x14ac:dyDescent="0.25">
      <c r="B54" s="41" t="s">
        <v>51</v>
      </c>
      <c r="E54" s="21" t="s">
        <v>44</v>
      </c>
      <c r="F54" s="41" t="s">
        <v>51</v>
      </c>
    </row>
    <row r="55" spans="2:9" hidden="1" x14ac:dyDescent="0.25">
      <c r="B55" s="21" t="s">
        <v>33</v>
      </c>
      <c r="C55" s="21">
        <f>VLOOKUP($C$20,Lookups!$B$7:$Y$8,8,FALSE)</f>
        <v>1</v>
      </c>
      <c r="F55" s="21" t="s">
        <v>33</v>
      </c>
      <c r="G55" s="21">
        <f>VLOOKUP($C$20,Lookups!$B$7:$Y$8,8,FALSE)</f>
        <v>1</v>
      </c>
      <c r="I55" s="21" t="s">
        <v>44</v>
      </c>
    </row>
    <row r="56" spans="2:9" hidden="1" x14ac:dyDescent="0.25">
      <c r="B56" s="21" t="s">
        <v>43</v>
      </c>
      <c r="C56" s="21">
        <f>ROUNDUP(C42/C19,0)</f>
        <v>85</v>
      </c>
      <c r="F56" s="21" t="s">
        <v>43</v>
      </c>
      <c r="G56" s="21">
        <f>ROUNDUP(G42/C19,0)</f>
        <v>75</v>
      </c>
    </row>
    <row r="57" spans="2:9" hidden="1" x14ac:dyDescent="0.25">
      <c r="B57" s="21" t="s">
        <v>34</v>
      </c>
      <c r="D57" s="21">
        <f>C56*C55</f>
        <v>85</v>
      </c>
      <c r="F57" s="21" t="s">
        <v>34</v>
      </c>
      <c r="H57" s="21">
        <f>G56*G55</f>
        <v>75</v>
      </c>
      <c r="I57" s="21" t="s">
        <v>44</v>
      </c>
    </row>
    <row r="58" spans="2:9" hidden="1" x14ac:dyDescent="0.25">
      <c r="B58" s="21" t="s">
        <v>35</v>
      </c>
      <c r="C58" s="21">
        <f>VLOOKUP($C$20,Lookups!$B$7:$Y$8,15)</f>
        <v>0.59199999999999997</v>
      </c>
      <c r="F58" s="21" t="s">
        <v>35</v>
      </c>
      <c r="G58" s="21">
        <f>VLOOKUP($C$20,Lookups!$B$7:$Y$8,15)</f>
        <v>0.59199999999999997</v>
      </c>
      <c r="I58" s="21" t="s">
        <v>44</v>
      </c>
    </row>
    <row r="59" spans="2:9" hidden="1" x14ac:dyDescent="0.25">
      <c r="B59" s="21" t="s">
        <v>37</v>
      </c>
      <c r="C59" s="21">
        <f>VLOOKUP($C$20,Lookups!$B$7:$Y$8,22)</f>
        <v>0.57699999999999996</v>
      </c>
      <c r="F59" s="21" t="s">
        <v>37</v>
      </c>
      <c r="G59" s="21">
        <f>VLOOKUP($C$20,Lookups!$B$7:$Y$8,22)</f>
        <v>0.57699999999999996</v>
      </c>
      <c r="I59" s="21" t="s">
        <v>44</v>
      </c>
    </row>
    <row r="60" spans="2:9" hidden="1" x14ac:dyDescent="0.25">
      <c r="B60" s="21" t="s">
        <v>25</v>
      </c>
      <c r="C60" s="21">
        <v>0</v>
      </c>
      <c r="F60" s="21" t="s">
        <v>25</v>
      </c>
      <c r="G60" s="21">
        <v>0</v>
      </c>
      <c r="I60" s="21" t="s">
        <v>44</v>
      </c>
    </row>
    <row r="61" spans="2:9" hidden="1" x14ac:dyDescent="0.25">
      <c r="B61" s="21" t="s">
        <v>31</v>
      </c>
      <c r="D61" s="21">
        <f>C60*2</f>
        <v>0</v>
      </c>
      <c r="F61" s="21" t="s">
        <v>31</v>
      </c>
      <c r="H61" s="21">
        <f>G60*2</f>
        <v>0</v>
      </c>
      <c r="I61" s="21" t="s">
        <v>44</v>
      </c>
    </row>
    <row r="62" spans="2:9" hidden="1" x14ac:dyDescent="0.25">
      <c r="B62" s="21" t="s">
        <v>36</v>
      </c>
      <c r="D62" s="50">
        <f>D57+C58+C59+D61</f>
        <v>86.168999999999997</v>
      </c>
      <c r="E62" s="41"/>
      <c r="F62" s="41" t="s">
        <v>36</v>
      </c>
      <c r="G62" s="41"/>
      <c r="H62" s="50">
        <f>H57+G58+G59+H61</f>
        <v>76.168999999999997</v>
      </c>
      <c r="I62" s="41" t="s">
        <v>44</v>
      </c>
    </row>
    <row r="63" spans="2:9" hidden="1" x14ac:dyDescent="0.25">
      <c r="E63" s="21" t="s">
        <v>44</v>
      </c>
    </row>
    <row r="64" spans="2:9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</sheetData>
  <sheetProtection algorithmName="SHA-512" hashValue="psLgvIVD8KE2JQvyZUYnJu9vIOOSGSxbmY5fXJj4T+BMuTkzC0BiIWNQV/B3amR6cUF2IbKhO3E+AL05hKvknw==" saltValue="S71Tn7UtoyopKnaFJSJoIg==" spinCount="100000" sheet="1" selectLockedCells="1"/>
  <protectedRanges>
    <protectedRange sqref="C8:C10 C19 C20" name="Range1"/>
  </protectedRanges>
  <mergeCells count="2">
    <mergeCell ref="B32:D32"/>
    <mergeCell ref="B34:D34"/>
  </mergeCells>
  <conditionalFormatting sqref="G22">
    <cfRule type="expression" dxfId="1" priority="19">
      <formula>AND($C$15&lt;&gt;1,#REF!&lt;&gt;0)</formula>
    </cfRule>
    <cfRule type="expression" dxfId="0" priority="20">
      <formula>AND($C$15=1,#REF!=0)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C49CEC-16D0-4292-B656-72C399F5F9AA}">
          <x14:formula1>
            <xm:f>Lookups!$B$7:$B$8</xm:f>
          </x14:formula1>
          <xm:sqref>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187F5-2702-4653-93AC-05908799078A}">
  <sheetPr codeName="Sheet2"/>
  <dimension ref="A5:AC14"/>
  <sheetViews>
    <sheetView workbookViewId="0">
      <selection activeCell="I9" sqref="I9"/>
    </sheetView>
  </sheetViews>
  <sheetFormatPr defaultRowHeight="13.2" x14ac:dyDescent="0.25"/>
  <cols>
    <col min="1" max="1" width="2.21875" style="1" customWidth="1"/>
    <col min="2" max="2" width="33.21875" style="1" bestFit="1" customWidth="1"/>
    <col min="3" max="3" width="7.77734375" style="1" customWidth="1"/>
    <col min="4" max="4" width="7.33203125" style="1" customWidth="1"/>
    <col min="5" max="5" width="7.88671875" style="1" customWidth="1"/>
    <col min="6" max="6" width="7.5546875" style="1" customWidth="1"/>
    <col min="7" max="7" width="11.109375" style="1" bestFit="1" customWidth="1"/>
    <col min="8" max="8" width="7.5546875" style="1" customWidth="1"/>
    <col min="9" max="9" width="7.33203125" style="1" bestFit="1" customWidth="1"/>
    <col min="10" max="10" width="8" style="1" bestFit="1" customWidth="1"/>
    <col min="11" max="11" width="11" style="1" customWidth="1"/>
    <col min="12" max="12" width="7.88671875" style="1" customWidth="1"/>
    <col min="13" max="13" width="7.77734375" style="1" customWidth="1"/>
    <col min="14" max="14" width="8" style="1" customWidth="1"/>
    <col min="15" max="15" width="7.6640625" style="1" customWidth="1"/>
    <col min="16" max="16" width="7.33203125" style="1" bestFit="1" customWidth="1"/>
    <col min="17" max="17" width="8" style="1" bestFit="1" customWidth="1"/>
    <col min="18" max="18" width="10.88671875" style="1" customWidth="1"/>
    <col min="19" max="19" width="7.77734375" style="1" customWidth="1"/>
    <col min="20" max="20" width="7.33203125" style="1" customWidth="1"/>
    <col min="21" max="21" width="8.109375" style="1" customWidth="1"/>
    <col min="22" max="22" width="7.6640625" style="1" customWidth="1"/>
    <col min="23" max="23" width="7.33203125" style="1" bestFit="1" customWidth="1"/>
    <col min="24" max="24" width="8" style="1" bestFit="1" customWidth="1"/>
    <col min="25" max="25" width="10.77734375" style="1" customWidth="1"/>
    <col min="26" max="16384" width="8.88671875" style="1"/>
  </cols>
  <sheetData>
    <row r="5" spans="1:29" x14ac:dyDescent="0.25">
      <c r="B5" s="1" t="s">
        <v>23</v>
      </c>
      <c r="C5" s="68" t="s">
        <v>11</v>
      </c>
      <c r="D5" s="69"/>
      <c r="E5" s="69"/>
      <c r="F5" s="69"/>
      <c r="G5" s="69"/>
      <c r="H5" s="69"/>
      <c r="I5" s="69"/>
      <c r="J5" s="69"/>
      <c r="K5" s="70"/>
      <c r="L5" s="68" t="s">
        <v>12</v>
      </c>
      <c r="M5" s="69"/>
      <c r="N5" s="69"/>
      <c r="O5" s="69"/>
      <c r="P5" s="69"/>
      <c r="Q5" s="69"/>
      <c r="R5" s="70"/>
      <c r="S5" s="68" t="s">
        <v>13</v>
      </c>
      <c r="T5" s="69"/>
      <c r="U5" s="69"/>
      <c r="V5" s="69"/>
      <c r="W5" s="69"/>
      <c r="X5" s="69"/>
      <c r="Y5" s="70"/>
      <c r="Z5" s="13" t="s">
        <v>46</v>
      </c>
      <c r="AA5" s="14" t="s">
        <v>46</v>
      </c>
      <c r="AB5" s="14" t="s">
        <v>47</v>
      </c>
      <c r="AC5" s="15"/>
    </row>
    <row r="6" spans="1:29" s="2" customFormat="1" ht="27" customHeight="1" x14ac:dyDescent="0.25">
      <c r="C6" s="3" t="s">
        <v>4</v>
      </c>
      <c r="D6" s="4" t="s">
        <v>5</v>
      </c>
      <c r="E6" s="4" t="s">
        <v>6</v>
      </c>
      <c r="F6" s="4" t="s">
        <v>7</v>
      </c>
      <c r="G6" s="4" t="s">
        <v>24</v>
      </c>
      <c r="H6" s="4" t="s">
        <v>25</v>
      </c>
      <c r="I6" s="4" t="s">
        <v>3</v>
      </c>
      <c r="J6" s="4" t="s">
        <v>1</v>
      </c>
      <c r="K6" s="5" t="s">
        <v>2</v>
      </c>
      <c r="L6" s="3" t="s">
        <v>4</v>
      </c>
      <c r="M6" s="4" t="s">
        <v>5</v>
      </c>
      <c r="N6" s="4" t="s">
        <v>6</v>
      </c>
      <c r="O6" s="4" t="s">
        <v>7</v>
      </c>
      <c r="P6" s="4" t="s">
        <v>3</v>
      </c>
      <c r="Q6" s="4" t="s">
        <v>1</v>
      </c>
      <c r="R6" s="5" t="s">
        <v>2</v>
      </c>
      <c r="S6" s="3" t="s">
        <v>4</v>
      </c>
      <c r="T6" s="4" t="s">
        <v>5</v>
      </c>
      <c r="U6" s="4" t="s">
        <v>6</v>
      </c>
      <c r="V6" s="4" t="s">
        <v>7</v>
      </c>
      <c r="W6" s="4" t="s">
        <v>3</v>
      </c>
      <c r="X6" s="4" t="s">
        <v>1</v>
      </c>
      <c r="Y6" s="5" t="s">
        <v>2</v>
      </c>
      <c r="Z6" s="16" t="s">
        <v>48</v>
      </c>
      <c r="AA6" s="17" t="s">
        <v>49</v>
      </c>
      <c r="AB6" s="17" t="s">
        <v>48</v>
      </c>
      <c r="AC6" s="18" t="s">
        <v>49</v>
      </c>
    </row>
    <row r="7" spans="1:29" x14ac:dyDescent="0.25">
      <c r="B7" s="6" t="s">
        <v>21</v>
      </c>
      <c r="C7" s="7">
        <v>1.087</v>
      </c>
      <c r="D7" s="8">
        <v>0.93200000000000005</v>
      </c>
      <c r="E7" s="8">
        <v>1.74</v>
      </c>
      <c r="F7" s="8">
        <v>1.327</v>
      </c>
      <c r="G7" s="8">
        <v>1</v>
      </c>
      <c r="H7" s="8">
        <v>0.6</v>
      </c>
      <c r="I7" s="8">
        <v>1</v>
      </c>
      <c r="J7" s="8">
        <v>1</v>
      </c>
      <c r="K7" s="9">
        <v>1.52</v>
      </c>
      <c r="L7" s="7">
        <v>1.0089999999999999</v>
      </c>
      <c r="M7" s="8">
        <v>0.96899999999999997</v>
      </c>
      <c r="N7" s="8">
        <v>1.74</v>
      </c>
      <c r="O7" s="8">
        <v>1.327</v>
      </c>
      <c r="P7" s="8">
        <v>0.59199999999999997</v>
      </c>
      <c r="Q7" s="8">
        <v>0.32500000000000001</v>
      </c>
      <c r="R7" s="9">
        <v>0.62</v>
      </c>
      <c r="S7" s="7">
        <v>0.98599999999999999</v>
      </c>
      <c r="T7" s="8">
        <v>0.96899999999999997</v>
      </c>
      <c r="U7" s="8">
        <v>1.74</v>
      </c>
      <c r="V7" s="8">
        <v>1.327</v>
      </c>
      <c r="W7" s="8">
        <v>0.57699999999999996</v>
      </c>
      <c r="X7" s="8">
        <v>0.27500000000000002</v>
      </c>
      <c r="Y7" s="9">
        <v>0.54</v>
      </c>
      <c r="Z7" s="7">
        <v>0.82199999999999995</v>
      </c>
      <c r="AA7" s="8">
        <v>0.51600000000000001</v>
      </c>
      <c r="AB7" s="8">
        <v>2.1</v>
      </c>
      <c r="AC7" s="9">
        <v>1.3</v>
      </c>
    </row>
    <row r="8" spans="1:29" x14ac:dyDescent="0.25">
      <c r="B8" s="6" t="s">
        <v>22</v>
      </c>
      <c r="C8" s="7">
        <v>1.087</v>
      </c>
      <c r="D8" s="8">
        <v>0.93200000000000005</v>
      </c>
      <c r="E8" s="8">
        <v>1.74</v>
      </c>
      <c r="F8" s="8">
        <v>1.327</v>
      </c>
      <c r="G8" s="8">
        <v>3.84</v>
      </c>
      <c r="H8" s="8">
        <v>1</v>
      </c>
      <c r="I8" s="8">
        <v>1</v>
      </c>
      <c r="J8" s="8">
        <v>1</v>
      </c>
      <c r="K8" s="9">
        <v>1.52</v>
      </c>
      <c r="L8" s="7">
        <v>1.0089999999999999</v>
      </c>
      <c r="M8" s="8">
        <v>0.96899999999999997</v>
      </c>
      <c r="N8" s="8">
        <v>1.74</v>
      </c>
      <c r="O8" s="8">
        <v>1.327</v>
      </c>
      <c r="P8" s="8">
        <v>0.59199999999999997</v>
      </c>
      <c r="Q8" s="8">
        <v>0.32500000000000001</v>
      </c>
      <c r="R8" s="9">
        <v>0.62</v>
      </c>
      <c r="S8" s="7">
        <v>0.98599999999999999</v>
      </c>
      <c r="T8" s="8">
        <v>0.96899999999999997</v>
      </c>
      <c r="U8" s="8">
        <v>1.74</v>
      </c>
      <c r="V8" s="8">
        <v>1.327</v>
      </c>
      <c r="W8" s="8">
        <v>0.57699999999999996</v>
      </c>
      <c r="X8" s="8">
        <v>0.27500000000000002</v>
      </c>
      <c r="Y8" s="9">
        <v>0.54</v>
      </c>
      <c r="Z8" s="7">
        <v>0.82199999999999995</v>
      </c>
      <c r="AA8" s="8">
        <v>0.51600000000000001</v>
      </c>
      <c r="AB8" s="8">
        <v>2.1</v>
      </c>
      <c r="AC8" s="9">
        <v>1.3</v>
      </c>
    </row>
    <row r="9" spans="1:29" x14ac:dyDescent="0.25">
      <c r="A9" s="6"/>
      <c r="B9" s="1">
        <v>1</v>
      </c>
      <c r="C9" s="10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2">
        <v>10</v>
      </c>
      <c r="L9" s="10">
        <v>11</v>
      </c>
      <c r="M9" s="11">
        <v>12</v>
      </c>
      <c r="N9" s="11">
        <v>13</v>
      </c>
      <c r="O9" s="11">
        <v>14</v>
      </c>
      <c r="P9" s="11">
        <v>15</v>
      </c>
      <c r="Q9" s="11">
        <v>16</v>
      </c>
      <c r="R9" s="12">
        <v>17</v>
      </c>
      <c r="S9" s="10">
        <v>18</v>
      </c>
      <c r="T9" s="11">
        <v>19</v>
      </c>
      <c r="U9" s="11">
        <v>20</v>
      </c>
      <c r="V9" s="11">
        <v>21</v>
      </c>
      <c r="W9" s="11">
        <v>22</v>
      </c>
      <c r="X9" s="11">
        <v>23</v>
      </c>
      <c r="Y9" s="12">
        <v>24</v>
      </c>
      <c r="Z9" s="10">
        <v>25</v>
      </c>
      <c r="AA9" s="11">
        <v>26</v>
      </c>
      <c r="AB9" s="11">
        <v>27</v>
      </c>
      <c r="AC9" s="12">
        <v>28</v>
      </c>
    </row>
    <row r="13" spans="1:29" x14ac:dyDescent="0.25">
      <c r="B13" s="1" t="s">
        <v>55</v>
      </c>
      <c r="C13" s="1">
        <v>0.75</v>
      </c>
    </row>
    <row r="14" spans="1:29" x14ac:dyDescent="0.25">
      <c r="C14" s="1">
        <v>1</v>
      </c>
    </row>
  </sheetData>
  <mergeCells count="3">
    <mergeCell ref="C5:K5"/>
    <mergeCell ref="L5:R5"/>
    <mergeCell ref="S5:Y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Lookups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Brookes</dc:creator>
  <cp:lastModifiedBy>Ken Green</cp:lastModifiedBy>
  <dcterms:created xsi:type="dcterms:W3CDTF">2019-12-17T03:12:09Z</dcterms:created>
  <dcterms:modified xsi:type="dcterms:W3CDTF">2022-04-26T02:37:25Z</dcterms:modified>
</cp:coreProperties>
</file>